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Rechnungswesen\A Rieger\VERTRÄGE\LRV\LRV GAS KoV 13\individualisiert\"/>
    </mc:Choice>
  </mc:AlternateContent>
  <bookViews>
    <workbookView xWindow="0" yWindow="0" windowWidth="25200" windowHeight="1128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7" l="1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E7" i="17" l="1"/>
  <c r="E6" i="17"/>
  <c r="E5" i="17"/>
  <c r="E4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X12" i="7" l="1"/>
  <c r="X21" i="7"/>
  <c r="X13" i="7"/>
  <c r="X11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O12" i="7"/>
  <c r="P11" i="7"/>
  <c r="N13" i="7"/>
  <c r="I14" i="7"/>
  <c r="H15" i="7"/>
  <c r="P15" i="7"/>
  <c r="O16" i="7"/>
  <c r="N17" i="7"/>
  <c r="M18" i="7"/>
  <c r="L19" i="7"/>
  <c r="K20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K12" i="7"/>
  <c r="K11" i="7"/>
  <c r="J13" i="7"/>
  <c r="M14" i="7"/>
  <c r="L15" i="7"/>
  <c r="K16" i="7"/>
  <c r="J17" i="7"/>
  <c r="I18" i="7"/>
  <c r="H19" i="7"/>
  <c r="P19" i="7"/>
  <c r="O20" i="7"/>
  <c r="L12" i="7"/>
  <c r="H12" i="7"/>
  <c r="I1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<sst xmlns="http://schemas.openxmlformats.org/spreadsheetml/2006/main" count="1389" uniqueCount="674">
  <si>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</si>
  <si>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</si>
  <si>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</si>
  <si>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</si>
  <si>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</si>
  <si>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</si>
  <si>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</si>
  <si>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</si>
  <si>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</si>
  <si>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</si>
  <si>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</si>
  <si>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</si>
  <si>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</si>
  <si>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</si>
  <si>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</si>
  <si>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</si>
  <si>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</si>
  <si>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</si>
  <si>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</si>
  <si>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</si>
  <si>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</si>
  <si>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</si>
  <si>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</si>
  <si>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</si>
  <si>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</si>
  <si>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</si>
  <si>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</si>
  <si>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</si>
  <si>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</si>
  <si>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</si>
  <si>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</si>
  <si>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</si>
  <si>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</si>
  <si>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</si>
  <si>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</si>
  <si>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</si>
  <si>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</si>
  <si>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</si>
  <si>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</si>
  <si>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</si>
  <si>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</si>
  <si>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</si>
  <si>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</si>
  <si>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</si>
  <si>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</si>
  <si>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</si>
  <si>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</si>
  <si>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</si>
  <si>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</si>
  <si>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</si>
  <si>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</si>
  <si>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</si>
  <si>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</si>
  <si>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</si>
  <si>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</si>
  <si>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</si>
  <si>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</si>
  <si>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</si>
  <si>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</si>
  <si>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</si>
  <si>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</si>
  <si>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</si>
  <si>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</si>
  <si>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</si>
  <si>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</si>
  <si>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</si>
  <si>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</si>
  <si>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</si>
  <si>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</si>
  <si>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</si>
  <si>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</si>
  <si>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</si>
  <si>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</si>
  <si>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</si>
  <si>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</si>
  <si>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</si>
  <si>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</si>
  <si>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</si>
  <si>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</si>
  <si>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</si>
  <si>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</si>
  <si>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</si>
  <si>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</si>
  <si>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</si>
  <si>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</si>
  <si>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</si>
  <si>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</si>
  <si>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</si>
  <si>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</si>
  <si>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</si>
  <si>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</si>
  <si>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</si>
  <si>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</si>
  <si>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</si>
  <si>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</si>
  <si>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</si>
  <si>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</si>
  <si>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</si>
  <si>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</si>
  <si>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</si>
  <si>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</si>
  <si>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</si>
  <si>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</si>
  <si>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</si>
  <si>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</si>
  <si>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</si>
  <si>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</si>
  <si>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</si>
  <si>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</si>
  <si>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</si>
  <si>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</si>
  <si>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</si>
  <si>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</si>
  <si>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</si>
  <si>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</si>
  <si>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</si>
  <si>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</si>
  <si>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</si>
  <si>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</si>
  <si>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</si>
  <si>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</si>
  <si>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</si>
  <si>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</si>
  <si>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</si>
  <si>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</si>
  <si>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</si>
  <si>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</si>
  <si>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</si>
  <si>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</si>
  <si>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</si>
  <si>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</si>
  <si>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</si>
  <si>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</si>
  <si>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</si>
  <si>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</si>
  <si>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</si>
  <si>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</si>
  <si>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</si>
  <si>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</si>
  <si>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</si>
  <si>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</si>
  <si>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</si>
  <si>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</si>
  <si>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</si>
  <si>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</si>
  <si>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</si>
  <si>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</si>
  <si>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</si>
  <si>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</si>
  <si>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</si>
  <si>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</si>
  <si>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</si>
  <si>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</si>
  <si>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</si>
  <si>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</si>
  <si>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</si>
  <si>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</si>
  <si>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</si>
  <si>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</si>
  <si>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</si>
  <si>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</si>
  <si>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</si>
  <si>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</si>
  <si>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</si>
  <si>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</si>
  <si>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</si>
  <si>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</si>
  <si>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</si>
  <si>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</si>
  <si>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</si>
  <si>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</si>
  <si>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</si>
  <si>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</si>
  <si>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</si>
  <si>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</si>
  <si>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</si>
  <si>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</si>
  <si>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</si>
  <si>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</si>
  <si>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</si>
  <si>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</si>
  <si>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</si>
  <si>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</si>
  <si>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</si>
  <si>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</si>
  <si>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</si>
  <si>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</si>
  <si>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</si>
  <si>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</si>
  <si>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</si>
  <si>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</si>
  <si>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</si>
  <si>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</si>
  <si>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</si>
  <si>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</si>
  <si>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</si>
  <si>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</si>
  <si>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</si>
  <si>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</si>
  <si>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</si>
  <si>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</si>
  <si>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</si>
  <si>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</si>
  <si>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</si>
  <si>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</si>
  <si>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</si>
  <si>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</si>
  <si>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</si>
  <si>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</si>
  <si>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</si>
  <si>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</si>
  <si>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</si>
  <si>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</si>
  <si>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</si>
  <si>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</si>
  <si>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</si>
  <si>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</si>
  <si>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</si>
  <si>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</si>
  <si>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</si>
  <si>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</si>
  <si>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</si>
  <si>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</si>
  <si>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</si>
  <si>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</si>
  <si>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</si>
  <si>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</si>
  <si>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</si>
  <si>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</si>
  <si>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</si>
  <si>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</si>
  <si>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</si>
  <si>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</si>
  <si>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</si>
  <si>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</si>
  <si>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</si>
  <si>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</si>
  <si>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</si>
  <si>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</si>
  <si>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</si>
  <si>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</si>
  <si>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</si>
  <si>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</si>
  <si>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</si>
  <si>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</si>
  <si>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</si>
  <si>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</si>
  <si>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</si>
  <si>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</si>
  <si>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</si>
  <si>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</si>
  <si>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</si>
  <si>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</si>
  <si>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</si>
  <si>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</si>
  <si>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</si>
  <si>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</si>
  <si>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</si>
  <si>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</si>
  <si>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</si>
  <si>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</si>
  <si>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</si>
  <si>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</si>
  <si>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</si>
  <si>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</si>
  <si>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</si>
  <si>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</si>
  <si>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</si>
  <si>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</si>
  <si>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</si>
  <si>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</si>
  <si>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</si>
  <si>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</si>
  <si>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</si>
  <si>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</si>
  <si>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</si>
  <si>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</si>
  <si>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</si>
  <si>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</si>
  <si>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</si>
  <si>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</si>
  <si>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</si>
  <si>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</si>
  <si>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</si>
  <si>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</si>
  <si>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</si>
  <si>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</si>
  <si>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</si>
  <si>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</si>
  <si>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</si>
  <si>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</si>
  <si>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</si>
  <si>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</si>
  <si>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</si>
  <si>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</si>
  <si>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</si>
  <si>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</si>
  <si>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</si>
  <si>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</si>
  <si>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</si>
  <si>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</si>
  <si>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</si>
  <si>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</si>
  <si>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</si>
  <si>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</si>
  <si>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</si>
  <si>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</si>
  <si>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</si>
  <si>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</si>
  <si>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</si>
  <si>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</si>
  <si>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</si>
  <si>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</si>
  <si>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</si>
  <si>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</si>
  <si>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</si>
  <si>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</si>
  <si>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</si>
  <si>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</si>
  <si>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</si>
  <si>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</si>
  <si>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</si>
  <si>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</si>
  <si>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</si>
  <si>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</si>
  <si>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</si>
  <si>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</si>
  <si>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</si>
  <si>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</si>
  <si>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</si>
  <si>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</si>
  <si>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</si>
  <si>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</si>
  <si>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</si>
  <si>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</si>
  <si>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</si>
  <si>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</si>
  <si>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</si>
  <si>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</si>
  <si>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</si>
  <si>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</si>
  <si>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</si>
  <si>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</si>
  <si>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</si>
  <si>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</si>
  <si>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</si>
  <si>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</si>
  <si>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</si>
  <si>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</si>
  <si>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</si>
  <si>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</si>
  <si>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</si>
  <si>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</si>
  <si>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</si>
  <si>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</si>
  <si>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</si>
  <si>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</si>
  <si>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</si>
  <si>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</si>
  <si>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</si>
  <si>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</si>
  <si>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</si>
  <si>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</si>
  <si>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</si>
  <si>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</si>
  <si>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</si>
  <si>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</si>
  <si>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</si>
  <si>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</si>
  <si>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</si>
  <si>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</si>
  <si>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</si>
  <si>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</si>
  <si>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</si>
  <si>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</si>
  <si>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</si>
  <si>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</si>
  <si>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</si>
  <si>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</si>
  <si>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</si>
  <si>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</si>
  <si>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</si>
  <si>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</si>
  <si>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</si>
  <si>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</si>
  <si>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</si>
  <si>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</si>
  <si>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</si>
  <si>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</si>
  <si>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</si>
  <si>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</si>
  <si>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</si>
  <si>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</si>
  <si>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</si>
  <si>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</si>
  <si>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</si>
  <si>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</si>
  <si>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</si>
  <si>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</si>
  <si>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</si>
  <si>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</si>
  <si>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</si>
  <si>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</si>
  <si>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</si>
  <si>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</si>
  <si>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</si>
  <si>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</si>
  <si>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</si>
  <si>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</si>
  <si>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</si>
  <si>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</si>
  <si>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</si>
  <si>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</si>
  <si>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</si>
  <si>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</si>
  <si>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</si>
  <si>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</si>
  <si>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</si>
  <si>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</si>
  <si>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</si>
  <si>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</si>
  <si>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</si>
  <si>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</si>
  <si>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</si>
  <si>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</si>
  <si>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</si>
  <si>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</si>
  <si>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</si>
  <si>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</si>
  <si>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</si>
  <si>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</si>
  <si>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</si>
  <si>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</si>
  <si>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</si>
  <si>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</si>
  <si>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</si>
  <si>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</si>
  <si>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</si>
  <si>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</si>
  <si>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</si>
  <si>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</si>
  <si>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</si>
  <si>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</si>
  <si>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</si>
  <si>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</si>
  <si>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</si>
  <si>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</si>
  <si>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</si>
  <si>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</si>
  <si>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</si>
  <si>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</si>
  <si>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</si>
  <si>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</si>
  <si>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</si>
  <si>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</si>
  <si>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</si>
  <si>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</si>
  <si>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</si>
  <si>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</si>
  <si>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</si>
  <si>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</si>
  <si>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</si>
  <si>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</si>
  <si>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</si>
  <si>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</si>
  <si>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</si>
  <si>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</si>
  <si>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</si>
  <si>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</si>
  <si>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</si>
  <si>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</si>
  <si>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</si>
  <si>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</si>
  <si>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</si>
  <si>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</si>
  <si>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</si>
  <si>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</si>
  <si>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</si>
  <si>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</si>
  <si>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</si>
  <si>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</si>
  <si>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</si>
  <si>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</si>
  <si>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</si>
  <si>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</si>
  <si>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</si>
  <si>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</si>
  <si>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</si>
  <si>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</si>
  <si>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</si>
  <si>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</si>
  <si>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</si>
  <si>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</si>
  <si>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</si>
  <si>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</si>
  <si>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</si>
  <si>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</si>
  <si>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</si>
  <si>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</si>
  <si>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</si>
  <si>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</si>
  <si>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</si>
  <si>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</si>
  <si>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</si>
  <si>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</si>
  <si>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</si>
  <si>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</si>
  <si>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</si>
  <si>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</si>
  <si>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</si>
  <si>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</si>
  <si>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</si>
  <si>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</si>
  <si>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</si>
  <si>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</si>
  <si>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</si>
  <si>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</si>
  <si>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</si>
  <si>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</si>
  <si>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</si>
  <si>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</si>
  <si>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</si>
  <si>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</si>
  <si>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</si>
  <si>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</si>
  <si>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</si>
  <si>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</si>
  <si>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</si>
  <si>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</si>
  <si>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</si>
  <si>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</si>
  <si>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</si>
  <si>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</si>
  <si>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</si>
  <si>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</si>
  <si>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</si>
  <si>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</si>
  <si>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</si>
  <si>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</si>
  <si>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</si>
  <si>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</si>
  <si>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</si>
  <si>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</si>
  <si>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</si>
  <si>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</si>
  <si>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</si>
  <si>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</si>
  <si>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</si>
  <si>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</si>
  <si>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</si>
  <si>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</si>
  <si>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</si>
  <si>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</si>
  <si>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</si>
  <si>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</si>
  <si>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</si>
  <si>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</si>
  <si>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</si>
  <si>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</si>
  <si>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</si>
  <si>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</si>
  <si>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</si>
  <si>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</si>
  <si>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</si>
  <si>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</si>
  <si>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</si>
  <si>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</si>
  <si>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</si>
  <si>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</si>
  <si>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</si>
  <si>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</si>
  <si>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</si>
  <si>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</si>
  <si>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</si>
  <si>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</si>
  <si>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</si>
  <si>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</si>
  <si>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</si>
  <si>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</si>
  <si>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</si>
  <si>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</si>
  <si>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</si>
  <si>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</si>
  <si>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</si>
  <si>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</si>
  <si>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</si>
  <si>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</si>
  <si>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</si>
  <si>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</si>
  <si>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</si>
  <si>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</si>
  <si>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</si>
  <si>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</si>
  <si>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</si>
  <si>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</si>
  <si>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</si>
  <si>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</si>
  <si>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</si>
  <si>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</si>
  <si>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</si>
  <si>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</si>
  <si>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</si>
  <si>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</si>
  <si>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</si>
  <si>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</si>
  <si>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</si>
  <si>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</si>
  <si>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</si>
  <si>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</si>
  <si>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</si>
  <si>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</si>
  <si>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</si>
  <si>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</si>
  <si>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</si>
  <si>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</si>
  <si>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</si>
  <si>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</si>
  <si>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</si>
  <si>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</si>
  <si>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</si>
  <si>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</si>
  <si>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</si>
  <si>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</si>
  <si>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</si>
  <si>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</si>
  <si>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</si>
  <si>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</si>
  <si>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</si>
  <si>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</si>
  <si>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</si>
  <si>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</si>
  <si>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</si>
  <si>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</si>
  <si>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</si>
  <si>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</si>
  <si>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</si>
  <si>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</si>
  <si>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</si>
  <si>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</si>
  <si>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</si>
  <si>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</si>
  <si>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</si>
  <si>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</si>
  <si>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</si>
  <si>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</si>
  <si>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</si>
  <si>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</si>
  <si>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</si>
  <si>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</si>
  <si>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</si>
  <si>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</si>
  <si>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</si>
  <si>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</si>
  <si>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</si>
  <si>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</si>
  <si>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</si>
  <si>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Nürtingen GmbH</t>
  </si>
  <si>
    <t xml:space="preserve">Porschestr. 5-9 </t>
  </si>
  <si>
    <t>9870040200006</t>
  </si>
  <si>
    <t>Nürtingen</t>
  </si>
  <si>
    <t>Johannes Lohmüller</t>
  </si>
  <si>
    <t>johannes.lohmueller@sw-nuertingen.de</t>
  </si>
  <si>
    <t xml:space="preserve">07022/406–323 </t>
  </si>
  <si>
    <t>Notzingen</t>
  </si>
  <si>
    <t>DE_GBA04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</si>
  <si>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</si>
  <si>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</si>
  <si>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</si>
  <si>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</si>
  <si>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</si>
  <si>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</si>
  <si>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</si>
  <si>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</si>
  <si>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THE0NKH700402000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</si>
</sst>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lohmueller@sw-nuertingen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499</v>
      </c>
      <c r="D4" s="27">
        <v>44835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500</v>
      </c>
      <c r="D6" s="27">
        <v>44835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258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51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259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260</v>
      </c>
      <c r="D15" s="43">
        <v>72622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261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262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263</v>
      </c>
      <c r="D21" s="352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264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5" t="s">
        <v>498</v>
      </c>
      <c r="D28" s="47" t="str">
        <f>IF(D27&lt;&gt;C28,VLOOKUP(D27,$C$29:$D$48,2,FALSE),C28)</f>
        <v>Nürtingen</v>
      </c>
      <c r="E28" s="38"/>
      <c r="F28" s="11"/>
      <c r="G28" s="2"/>
    </row>
    <row r="29" spans="1:15">
      <c r="B29" s="15"/>
      <c r="C29" s="22" t="s">
        <v>392</v>
      </c>
      <c r="D29" s="44" t="s">
        <v>659</v>
      </c>
      <c r="E29" s="40"/>
      <c r="F29" s="11"/>
      <c r="G29" s="2"/>
    </row>
    <row r="30" spans="1:15">
      <c r="B30" s="15"/>
      <c r="C30" s="22" t="s">
        <v>393</v>
      </c>
      <c r="D30" s="44"/>
      <c r="E30" s="40"/>
      <c r="F30" s="46"/>
      <c r="G30" s="2"/>
    </row>
    <row r="31" spans="1:15">
      <c r="B31" s="15"/>
      <c r="C31" s="22" t="s">
        <v>418</v>
      </c>
      <c r="D31" s="45"/>
      <c r="E31" s="40"/>
      <c r="F31" s="46"/>
      <c r="G31" s="2"/>
    </row>
    <row r="32" spans="1:15">
      <c r="B32" s="15"/>
      <c r="C32" s="22" t="s">
        <v>419</v>
      </c>
      <c r="D32" s="45"/>
      <c r="E32" s="40"/>
      <c r="F32" s="46"/>
      <c r="G32" s="2"/>
    </row>
    <row r="33" spans="2:7">
      <c r="B33" s="15"/>
      <c r="C33" s="22" t="s">
        <v>420</v>
      </c>
      <c r="D33" s="44"/>
      <c r="E33" s="40"/>
      <c r="F33" s="46"/>
      <c r="G33" s="2"/>
    </row>
    <row r="34" spans="2:7">
      <c r="B34" s="15"/>
      <c r="C34" s="22" t="s">
        <v>421</v>
      </c>
      <c r="D34" s="45"/>
      <c r="E34" s="40"/>
      <c r="F34" s="46"/>
      <c r="G34" s="2"/>
    </row>
    <row r="35" spans="2:7">
      <c r="B35" s="15"/>
      <c r="C35" s="22" t="s">
        <v>422</v>
      </c>
      <c r="D35" s="45"/>
      <c r="E35" s="40"/>
      <c r="F35" s="46"/>
      <c r="G35" s="2"/>
    </row>
    <row r="36" spans="2:7">
      <c r="B36" s="15"/>
      <c r="C36" s="22" t="s">
        <v>423</v>
      </c>
      <c r="D36" s="45"/>
      <c r="E36" s="40"/>
      <c r="F36" s="46"/>
      <c r="G36" s="2"/>
    </row>
    <row r="37" spans="2:7">
      <c r="B37" s="15"/>
      <c r="C37" s="22" t="s">
        <v>424</v>
      </c>
      <c r="D37" s="45"/>
      <c r="E37" s="40"/>
      <c r="F37" s="46"/>
      <c r="G37" s="2"/>
    </row>
    <row r="38" spans="2:7">
      <c r="B38" s="15"/>
      <c r="C38" s="22" t="s">
        <v>427</v>
      </c>
      <c r="D38" s="45"/>
      <c r="E38" s="40"/>
      <c r="F38" s="46"/>
      <c r="G38" s="2"/>
    </row>
    <row r="39" spans="2:7">
      <c r="B39" s="15"/>
      <c r="C39" s="22" t="s">
        <v>428</v>
      </c>
      <c r="D39" s="45"/>
      <c r="E39" s="40"/>
      <c r="F39" s="46"/>
      <c r="G39" s="2"/>
    </row>
    <row r="40" spans="2:7">
      <c r="B40" s="15"/>
      <c r="C40" s="22" t="s">
        <v>429</v>
      </c>
      <c r="D40" s="45"/>
      <c r="E40" s="40"/>
      <c r="F40" s="46"/>
      <c r="G40" s="2"/>
    </row>
    <row r="41" spans="2:7">
      <c r="B41" s="15"/>
      <c r="C41" s="22" t="s">
        <v>430</v>
      </c>
      <c r="D41" s="45"/>
      <c r="E41" s="40"/>
      <c r="F41" s="46"/>
      <c r="G41" s="2"/>
    </row>
    <row r="42" spans="2:7">
      <c r="B42" s="15"/>
      <c r="C42" s="22" t="s">
        <v>431</v>
      </c>
      <c r="D42" s="45"/>
      <c r="E42" s="40"/>
      <c r="F42" s="46"/>
      <c r="G42" s="2"/>
    </row>
    <row r="43" spans="2:7">
      <c r="B43" s="15"/>
      <c r="C43" s="22" t="s">
        <v>432</v>
      </c>
      <c r="D43" s="45"/>
      <c r="E43" s="40"/>
      <c r="F43" s="46"/>
      <c r="G43" s="2"/>
    </row>
    <row r="44" spans="2:7">
      <c r="B44" s="15"/>
      <c r="C44" s="22" t="s">
        <v>433</v>
      </c>
      <c r="D44" s="45"/>
      <c r="E44" s="40"/>
      <c r="F44" s="46"/>
      <c r="G44" s="2"/>
    </row>
    <row r="45" spans="2:7">
      <c r="B45" s="15"/>
      <c r="C45" s="22" t="s">
        <v>434</v>
      </c>
      <c r="D45" s="45"/>
      <c r="E45" s="40"/>
      <c r="F45" s="46"/>
      <c r="G45" s="2"/>
    </row>
    <row r="46" spans="2:7">
      <c r="B46" s="15"/>
      <c r="C46" s="22" t="s">
        <v>435</v>
      </c>
      <c r="D46" s="45"/>
      <c r="E46" s="40"/>
      <c r="F46" s="46"/>
    </row>
    <row r="47" spans="2:7">
      <c r="B47" s="15"/>
      <c r="C47" s="22" t="s">
        <v>436</v>
      </c>
      <c r="D47" s="45"/>
      <c r="E47" s="40"/>
      <c r="F47" s="46"/>
    </row>
    <row r="48" spans="2:7">
      <c r="B48" s="15"/>
      <c r="C48" s="22" t="s">
        <v>437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441</v>
      </c>
      <c r="D5" s="57" t="str">
        <f>Netzbetreiber!$D$9</f>
        <v>Stadtwerke Nürtingen GmbH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7" t="str">
        <f>Netzbetreiber!D28</f>
        <v>Nürtingen</v>
      </c>
      <c r="E6" s="15"/>
      <c r="H6" s="67"/>
      <c r="I6" s="67"/>
      <c r="J6" s="67"/>
      <c r="K6" s="67"/>
    </row>
    <row r="7" spans="2:15" ht="15" customHeight="1">
      <c r="B7" s="22"/>
      <c r="C7" s="59" t="s">
        <v>484</v>
      </c>
      <c r="D7" s="60" t="str">
        <f>Netzbetreiber!$D$11</f>
        <v>9870040200006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49">
        <f>Netzbetreiber!$D$6</f>
        <v>44835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652</v>
      </c>
      <c r="D13" s="42" t="s">
        <v>673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82</v>
      </c>
      <c r="C15" s="31" t="s">
        <v>365</v>
      </c>
      <c r="D15" s="48" t="s">
        <v>256</v>
      </c>
      <c r="E15" s="15"/>
      <c r="H15" s="274" t="s">
        <v>256</v>
      </c>
      <c r="I15" s="274" t="s">
        <v>134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485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486</v>
      </c>
      <c r="I17" s="275" t="s">
        <v>487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83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84</v>
      </c>
      <c r="C23" s="6" t="s">
        <v>577</v>
      </c>
      <c r="D23" s="42" t="s">
        <v>135</v>
      </c>
      <c r="E23" s="15"/>
      <c r="H23" s="274" t="s">
        <v>133</v>
      </c>
      <c r="I23" s="274" t="s">
        <v>135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367</v>
      </c>
      <c r="C28" s="6" t="s">
        <v>576</v>
      </c>
      <c r="D28" s="42" t="s">
        <v>135</v>
      </c>
      <c r="E28" s="15"/>
      <c r="H28" s="274" t="s">
        <v>133</v>
      </c>
      <c r="I28" s="274" t="s">
        <v>135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490</v>
      </c>
      <c r="C32" s="24" t="s">
        <v>492</v>
      </c>
      <c r="D32" s="268">
        <v>11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362</v>
      </c>
      <c r="D34" s="34">
        <v>1500000</v>
      </c>
      <c r="E34" s="15" t="s">
        <v>505</v>
      </c>
      <c r="I34" s="272"/>
      <c r="J34" s="272"/>
      <c r="K34" s="272"/>
      <c r="L34" s="272"/>
      <c r="M34" s="273"/>
    </row>
    <row r="35" spans="2:39" customFormat="1" ht="15" customHeight="1">
      <c r="C35" s="8" t="s">
        <v>488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363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663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/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tr">
        <f>Netzbetreiber!D9</f>
        <v>Stadtwerke Nürtingen GmbH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Netzbetreiber!D17</f>
        <v>Nürtingen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353" t="str">
        <f>Netzbetreiber!D11</f>
        <v>9870040200006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f>Netzbetreiber!D6</f>
        <v>44835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494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>Notzingen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583</v>
      </c>
      <c r="D13" s="354"/>
      <c r="E13" s="354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444</v>
      </c>
      <c r="D14" s="355"/>
      <c r="E14" s="89" t="s">
        <v>445</v>
      </c>
      <c r="F14" s="266" t="s">
        <v>84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5" t="s">
        <v>384</v>
      </c>
      <c r="D15" s="355"/>
      <c r="E15" s="89" t="s">
        <v>445</v>
      </c>
      <c r="F15" s="266" t="s">
        <v>70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512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514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136</v>
      </c>
      <c r="D23" s="188"/>
      <c r="E23" s="156" t="s">
        <v>501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501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663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513</v>
      </c>
      <c r="D25" s="188"/>
      <c r="E25" s="160">
        <v>198129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140</v>
      </c>
      <c r="D26" s="188"/>
      <c r="E26" s="156" t="s">
        <v>502</v>
      </c>
      <c r="F26" s="156" t="s">
        <v>502</v>
      </c>
      <c r="G26" s="156" t="s">
        <v>502</v>
      </c>
      <c r="H26" s="156" t="s">
        <v>502</v>
      </c>
      <c r="I26" s="156" t="s">
        <v>502</v>
      </c>
      <c r="J26" s="156" t="s">
        <v>502</v>
      </c>
      <c r="K26" s="156" t="s">
        <v>502</v>
      </c>
      <c r="L26" s="156" t="s">
        <v>502</v>
      </c>
      <c r="M26" s="156" t="s">
        <v>502</v>
      </c>
      <c r="N26" s="156" t="s">
        <v>502</v>
      </c>
      <c r="O26" s="185" t="s">
        <v>141</v>
      </c>
      <c r="Q26" s="211"/>
      <c r="R26" s="209" t="s">
        <v>502</v>
      </c>
      <c r="S26" s="209" t="s">
        <v>654</v>
      </c>
      <c r="T26" s="209" t="s">
        <v>655</v>
      </c>
      <c r="U26" s="209" t="s">
        <v>503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142</v>
      </c>
      <c r="P27" s="13"/>
      <c r="Q27" s="211"/>
      <c r="R27" s="209" t="s">
        <v>502</v>
      </c>
      <c r="S27" s="209" t="s">
        <v>503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139</v>
      </c>
      <c r="D31" s="180" t="s">
        <v>255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143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254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144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358</v>
      </c>
      <c r="D34" s="153" t="s">
        <v>357</v>
      </c>
      <c r="E34" s="156" t="s">
        <v>3</v>
      </c>
      <c r="F34" s="156" t="s">
        <v>356</v>
      </c>
      <c r="G34" s="156" t="s">
        <v>347</v>
      </c>
      <c r="H34" s="156" t="s">
        <v>348</v>
      </c>
      <c r="I34" s="156"/>
      <c r="J34" s="156"/>
      <c r="K34" s="156"/>
      <c r="L34" s="156"/>
      <c r="M34" s="156"/>
      <c r="N34" s="156"/>
      <c r="O34" s="185" t="s">
        <v>141</v>
      </c>
      <c r="Q34" s="211"/>
      <c r="R34" s="67" t="s">
        <v>3</v>
      </c>
      <c r="S34" s="67" t="s">
        <v>356</v>
      </c>
      <c r="T34" s="67" t="s">
        <v>347</v>
      </c>
      <c r="U34" s="67" t="s">
        <v>348</v>
      </c>
      <c r="V34" s="67" t="s">
        <v>349</v>
      </c>
      <c r="W34" s="67" t="s">
        <v>350</v>
      </c>
      <c r="X34" s="67" t="s">
        <v>351</v>
      </c>
      <c r="Y34" s="67" t="s">
        <v>352</v>
      </c>
      <c r="Z34" s="67" t="s">
        <v>353</v>
      </c>
      <c r="AA34" s="67" t="s">
        <v>354</v>
      </c>
      <c r="AB34" s="67" t="s">
        <v>355</v>
      </c>
    </row>
    <row r="35" spans="2:28">
      <c r="B35" s="183"/>
      <c r="C35" s="187" t="s">
        <v>447</v>
      </c>
      <c r="D35" s="153" t="s">
        <v>446</v>
      </c>
      <c r="E35" s="156" t="s">
        <v>510</v>
      </c>
      <c r="F35" s="156" t="s">
        <v>510</v>
      </c>
      <c r="G35" s="156" t="s">
        <v>510</v>
      </c>
      <c r="H35" s="156" t="s">
        <v>510</v>
      </c>
      <c r="I35" s="162"/>
      <c r="J35" s="162"/>
      <c r="K35" s="162"/>
      <c r="L35" s="162"/>
      <c r="M35" s="162"/>
      <c r="N35" s="162"/>
      <c r="O35" s="185" t="s">
        <v>141</v>
      </c>
      <c r="Q35" s="211"/>
      <c r="R35" s="67" t="s">
        <v>510</v>
      </c>
      <c r="S35" s="67" t="s">
        <v>511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141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439</v>
      </c>
      <c r="D37" s="119" t="s">
        <v>537</v>
      </c>
      <c r="E37" s="162" t="s">
        <v>448</v>
      </c>
      <c r="F37" s="162" t="s">
        <v>448</v>
      </c>
      <c r="G37" s="162" t="s">
        <v>449</v>
      </c>
      <c r="H37" s="162" t="s">
        <v>449</v>
      </c>
      <c r="I37" s="162"/>
      <c r="J37" s="162"/>
      <c r="K37" s="162"/>
      <c r="L37" s="162"/>
      <c r="M37" s="162"/>
      <c r="N37" s="162"/>
      <c r="O37" s="185" t="s">
        <v>141</v>
      </c>
      <c r="Q37" s="211"/>
      <c r="R37" s="67" t="s">
        <v>449</v>
      </c>
      <c r="S37" s="67" t="s">
        <v>448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266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346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>
      <c r="B48" s="193"/>
      <c r="C48" s="200" t="s">
        <v>345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359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512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143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514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144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136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Notzingen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513</v>
      </c>
      <c r="D60" s="188"/>
      <c r="E60" s="160">
        <f>E25</f>
        <v>198129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140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139</v>
      </c>
      <c r="D65" s="180" t="s">
        <v>255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143</v>
      </c>
    </row>
    <row r="66" spans="2:15">
      <c r="B66" s="183"/>
      <c r="C66" s="184" t="s">
        <v>525</v>
      </c>
      <c r="D66" s="186" t="s">
        <v>254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144</v>
      </c>
    </row>
    <row r="68" spans="2:15">
      <c r="B68" s="183"/>
      <c r="C68" s="187" t="s">
        <v>358</v>
      </c>
      <c r="D68" s="153" t="s">
        <v>357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141</v>
      </c>
    </row>
    <row r="69" spans="2:15">
      <c r="B69" s="183"/>
      <c r="C69" s="187" t="s">
        <v>447</v>
      </c>
      <c r="D69" s="153" t="s">
        <v>446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141</v>
      </c>
    </row>
    <row r="70" spans="2:15">
      <c r="B70" s="183"/>
      <c r="C70" s="187" t="s">
        <v>604</v>
      </c>
      <c r="D70" s="153" t="s">
        <v>605</v>
      </c>
      <c r="E70" s="159" t="str">
        <f>E36</f>
        <v>UCT</v>
      </c>
      <c r="F70" s="159" t="str">
        <f t="shared" ref="F70:N70" si="16">F36</f>
        <v>UCT</v>
      </c>
      <c r="G70" s="159" t="str">
        <f t="shared" si="16"/>
        <v>UCT</v>
      </c>
      <c r="H70" s="159" t="str">
        <f t="shared" si="16"/>
        <v>UCT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141</v>
      </c>
    </row>
    <row r="71" spans="2:15">
      <c r="B71" s="183"/>
      <c r="C71" s="192" t="s">
        <v>439</v>
      </c>
      <c r="D71" s="119" t="s">
        <v>537</v>
      </c>
      <c r="E71" s="163" t="s">
        <v>449</v>
      </c>
      <c r="F71" s="163" t="s">
        <v>449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141</v>
      </c>
    </row>
    <row r="72" spans="2:15"/>
    <row r="73" spans="2:15" ht="15.75" customHeight="1">
      <c r="C73" s="356" t="s">
        <v>579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">
        <v>483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Nürtingen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494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583</v>
      </c>
      <c r="D13" s="354"/>
      <c r="E13" s="354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444</v>
      </c>
      <c r="D14" s="355"/>
      <c r="E14" s="89" t="s">
        <v>445</v>
      </c>
      <c r="F14" s="266" t="s">
        <v>84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5" t="s">
        <v>384</v>
      </c>
      <c r="D15" s="355"/>
      <c r="E15" s="89" t="s">
        <v>445</v>
      </c>
      <c r="F15" s="266" t="s">
        <v>70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512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514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501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513</v>
      </c>
      <c r="D25" s="188"/>
      <c r="E25" s="160" t="s">
        <v>360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502</v>
      </c>
      <c r="F26" s="156" t="s">
        <v>502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358</v>
      </c>
      <c r="D33" s="153" t="s">
        <v>357</v>
      </c>
      <c r="E33" s="156" t="s">
        <v>3</v>
      </c>
      <c r="F33" s="156" t="s">
        <v>356</v>
      </c>
      <c r="G33" s="156" t="s">
        <v>347</v>
      </c>
      <c r="H33" s="156" t="s">
        <v>348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83"/>
      <c r="C34" s="187" t="s">
        <v>447</v>
      </c>
      <c r="D34" s="153" t="s">
        <v>446</v>
      </c>
      <c r="E34" s="156" t="s">
        <v>510</v>
      </c>
      <c r="F34" s="156" t="s">
        <v>510</v>
      </c>
      <c r="G34" s="156" t="s">
        <v>510</v>
      </c>
      <c r="H34" s="156" t="s">
        <v>510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141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439</v>
      </c>
      <c r="D36" s="119" t="s">
        <v>537</v>
      </c>
      <c r="E36" s="162" t="s">
        <v>448</v>
      </c>
      <c r="F36" s="162" t="s">
        <v>448</v>
      </c>
      <c r="G36" s="162" t="s">
        <v>449</v>
      </c>
      <c r="H36" s="162" t="s">
        <v>449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266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346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359</v>
      </c>
      <c r="K46" s="198"/>
      <c r="L46" s="198"/>
      <c r="M46" s="198"/>
      <c r="N46" s="198"/>
      <c r="O46" s="199"/>
    </row>
    <row r="47" spans="2:28">
      <c r="B47" s="193"/>
      <c r="C47" s="200" t="s">
        <v>345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512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514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513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525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358</v>
      </c>
      <c r="D67" s="153" t="s">
        <v>357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447</v>
      </c>
      <c r="D68" s="153" t="s">
        <v>446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439</v>
      </c>
      <c r="D70" s="119" t="s">
        <v>537</v>
      </c>
      <c r="E70" s="163" t="s">
        <v>449</v>
      </c>
      <c r="F70" s="163" t="s">
        <v>449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6" t="s">
        <v>579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361</v>
      </c>
    </row>
    <row r="3" spans="2:26">
      <c r="B3" s="130" t="s">
        <v>462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366</v>
      </c>
      <c r="D5" s="53" t="str">
        <f>Netzbetreiber!$D$9</f>
        <v>Stadtwerke Nürtingen GmbH</v>
      </c>
      <c r="E5" s="130"/>
      <c r="H5" s="88" t="s">
        <v>494</v>
      </c>
      <c r="I5" s="131" t="s">
        <v>497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333</v>
      </c>
      <c r="D6" s="53" t="str">
        <f>Netzbetreiber!$D$28</f>
        <v>Nürtingen</v>
      </c>
      <c r="E6" s="130"/>
      <c r="F6" s="130"/>
      <c r="I6" s="131" t="s">
        <v>507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484</v>
      </c>
      <c r="D7" s="53" t="str">
        <f>Netzbetreiber!$D$11</f>
        <v>9870040200006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51">
        <f>Netzbetreiber!$D$6</f>
        <v>44835</v>
      </c>
      <c r="E8" s="130"/>
      <c r="F8" s="130"/>
      <c r="H8" s="128" t="s">
        <v>492</v>
      </c>
      <c r="J8" s="132">
        <f>COUNTA(D12:D100)</f>
        <v>11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491</v>
      </c>
      <c r="D10" s="134" t="s">
        <v>146</v>
      </c>
      <c r="E10" s="277" t="s">
        <v>509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493</v>
      </c>
      <c r="C11" s="140" t="s">
        <v>508</v>
      </c>
      <c r="D11" s="304" t="s">
        <v>247</v>
      </c>
      <c r="E11" s="164" t="s">
        <v>515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Nürtingen</v>
      </c>
      <c r="D12" s="62" t="s">
        <v>247</v>
      </c>
      <c r="E12" s="165" t="s">
        <v>664</v>
      </c>
      <c r="F12" s="307" t="str">
        <f>VLOOKUP($E12,'BDEW-Standard'!$B$3:$M$94,F$9,0)</f>
        <v>BA4</v>
      </c>
      <c r="H12" s="278">
        <f>ROUND(VLOOKUP($E12,'BDEW-Standard'!$B$3:$M$94,H$9,0),7)</f>
        <v>0.93158890000000005</v>
      </c>
      <c r="I12" s="278">
        <f>ROUND(VLOOKUP($E12,'BDEW-Standard'!$B$3:$M$94,I$9,0),7)</f>
        <v>-33.35</v>
      </c>
      <c r="J12" s="278">
        <f>ROUND(VLOOKUP($E12,'BDEW-Standard'!$B$3:$M$94,J$9,0),7)</f>
        <v>5.7212303000000002</v>
      </c>
      <c r="K12" s="278">
        <f>ROUND(VLOOKUP($E12,'BDEW-Standard'!$B$3:$M$94,K$9,0),7)</f>
        <v>0.66564939999999995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2" si="1">($H12/(1+($I12/($Q$9-$L12))^$J12)+$K12)+MAX($M12*$Q$9+$N12,$O12*$Q$9+$P12)</f>
        <v>1.0766391850538448</v>
      </c>
      <c r="R12" s="281">
        <f>ROUND(VLOOKUP(MID($E12,4,3),'Wochentag F(WT)'!$B$7:$J$22,R$9,0),4)</f>
        <v>1.0848</v>
      </c>
      <c r="S12" s="281">
        <f>ROUND(VLOOKUP(MID($E12,4,3),'Wochentag F(WT)'!$B$7:$J$22,S$9,0),4)</f>
        <v>1.1211</v>
      </c>
      <c r="T12" s="281">
        <f>ROUND(VLOOKUP(MID($E12,4,3),'Wochentag F(WT)'!$B$7:$J$22,T$9,0),4)</f>
        <v>1.0769</v>
      </c>
      <c r="U12" s="281">
        <f>ROUND(VLOOKUP(MID($E12,4,3),'Wochentag F(WT)'!$B$7:$J$22,U$9,0),4)</f>
        <v>1.1353</v>
      </c>
      <c r="V12" s="281">
        <f>ROUND(VLOOKUP(MID($E12,4,3),'Wochentag F(WT)'!$B$7:$J$22,V$9,0),4)</f>
        <v>1.1402000000000001</v>
      </c>
      <c r="W12" s="281">
        <f>ROUND(VLOOKUP(MID($E12,4,3),'Wochentag F(WT)'!$B$7:$J$22,W$9,0),4)</f>
        <v>0.48520000000000002</v>
      </c>
      <c r="X12" s="282">
        <f>7-SUM(R12:W12)</f>
        <v>0.95650000000000013</v>
      </c>
      <c r="Y12" s="303"/>
      <c r="Z12" s="212"/>
    </row>
    <row r="13" spans="2:26" s="143" customFormat="1">
      <c r="B13" s="144">
        <v>2</v>
      </c>
      <c r="C13" s="145" t="str">
        <f t="shared" si="0"/>
        <v>Nürtingen</v>
      </c>
      <c r="D13" s="62" t="s">
        <v>247</v>
      </c>
      <c r="E13" s="165" t="s">
        <v>665</v>
      </c>
      <c r="F13" s="307" t="str">
        <f>VLOOKUP($E13,'BDEW-Standard'!$B$3:$M$94,F$9,0)</f>
        <v>MK4</v>
      </c>
      <c r="H13" s="278">
        <f>ROUND(VLOOKUP($E13,'BDEW-Standard'!$B$3:$M$94,H$9,0),7)</f>
        <v>3.1177248</v>
      </c>
      <c r="I13" s="278">
        <f>ROUND(VLOOKUP($E13,'BDEW-Standard'!$B$3:$M$94,I$9,0),7)</f>
        <v>-35.871506199999999</v>
      </c>
      <c r="J13" s="278">
        <f>ROUND(VLOOKUP($E13,'BDEW-Standard'!$B$3:$M$94,J$9,0),7)</f>
        <v>7.5186828999999999</v>
      </c>
      <c r="K13" s="278">
        <f>ROUND(VLOOKUP($E13,'BDEW-Standard'!$B$3:$M$94,K$9,0),7)</f>
        <v>3.4330100000000002E-2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0.9622064996731321</v>
      </c>
      <c r="R13" s="281">
        <f>ROUND(VLOOKUP(MID($E13,4,3),'Wochentag F(WT)'!$B$7:$J$22,R$9,0),4)</f>
        <v>1.0699000000000001</v>
      </c>
      <c r="S13" s="281">
        <f>ROUND(VLOOKUP(MID($E13,4,3),'Wochentag F(WT)'!$B$7:$J$22,S$9,0),4)</f>
        <v>1.0365</v>
      </c>
      <c r="T13" s="281">
        <f>ROUND(VLOOKUP(MID($E13,4,3),'Wochentag F(WT)'!$B$7:$J$22,T$9,0),4)</f>
        <v>0.99329999999999996</v>
      </c>
      <c r="U13" s="281">
        <f>ROUND(VLOOKUP(MID($E13,4,3),'Wochentag F(WT)'!$B$7:$J$22,U$9,0),4)</f>
        <v>0.99480000000000002</v>
      </c>
      <c r="V13" s="281">
        <f>ROUND(VLOOKUP(MID($E13,4,3),'Wochentag F(WT)'!$B$7:$J$22,V$9,0),4)</f>
        <v>1.0659000000000001</v>
      </c>
      <c r="W13" s="281">
        <f>ROUND(VLOOKUP(MID($E13,4,3),'Wochentag F(WT)'!$B$7:$J$22,W$9,0),4)</f>
        <v>0.93620000000000003</v>
      </c>
      <c r="X13" s="282">
        <f t="shared" ref="X13:X22" si="2">7-SUM(R13:W13)</f>
        <v>0.90339999999999954</v>
      </c>
      <c r="Y13" s="303"/>
      <c r="Z13" s="212"/>
    </row>
    <row r="14" spans="2:26" s="143" customFormat="1">
      <c r="B14" s="144">
        <v>3</v>
      </c>
      <c r="C14" s="145" t="str">
        <f t="shared" si="0"/>
        <v>Nürtingen</v>
      </c>
      <c r="D14" s="62" t="s">
        <v>247</v>
      </c>
      <c r="E14" s="165" t="s">
        <v>666</v>
      </c>
      <c r="F14" s="307" t="str">
        <f>VLOOKUP($E14,'BDEW-Standard'!$B$3:$M$94,F$9,0)</f>
        <v>HA4</v>
      </c>
      <c r="H14" s="278">
        <f>ROUND(VLOOKUP($E14,'BDEW-Standard'!$B$3:$M$94,H$9,0),7)</f>
        <v>4.0196902000000003</v>
      </c>
      <c r="I14" s="278">
        <f>ROUND(VLOOKUP($E14,'BDEW-Standard'!$B$3:$M$94,I$9,0),7)</f>
        <v>-37.828203700000003</v>
      </c>
      <c r="J14" s="278">
        <f>ROUND(VLOOKUP($E14,'BDEW-Standard'!$B$3:$M$94,J$9,0),7)</f>
        <v>8.1593368999999996</v>
      </c>
      <c r="K14" s="278">
        <f>ROUND(VLOOKUP($E14,'BDEW-Standard'!$B$3:$M$94,K$9,0),7)</f>
        <v>4.72845E-2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0.86486713303260787</v>
      </c>
      <c r="R14" s="281">
        <f>ROUND(VLOOKUP(MID($E14,4,3),'Wochentag F(WT)'!$B$7:$J$22,R$9,0),4)</f>
        <v>1.0358000000000001</v>
      </c>
      <c r="S14" s="281">
        <f>ROUND(VLOOKUP(MID($E14,4,3),'Wochentag F(WT)'!$B$7:$J$22,S$9,0),4)</f>
        <v>1.0232000000000001</v>
      </c>
      <c r="T14" s="281">
        <f>ROUND(VLOOKUP(MID($E14,4,3),'Wochentag F(WT)'!$B$7:$J$22,T$9,0),4)</f>
        <v>1.0251999999999999</v>
      </c>
      <c r="U14" s="281">
        <f>ROUND(VLOOKUP(MID($E14,4,3),'Wochentag F(WT)'!$B$7:$J$22,U$9,0),4)</f>
        <v>1.0295000000000001</v>
      </c>
      <c r="V14" s="281">
        <f>ROUND(VLOOKUP(MID($E14,4,3),'Wochentag F(WT)'!$B$7:$J$22,V$9,0),4)</f>
        <v>1.0253000000000001</v>
      </c>
      <c r="W14" s="281">
        <f>ROUND(VLOOKUP(MID($E14,4,3),'Wochentag F(WT)'!$B$7:$J$22,W$9,0),4)</f>
        <v>0.96750000000000003</v>
      </c>
      <c r="X14" s="282">
        <f t="shared" si="2"/>
        <v>0.89350000000000041</v>
      </c>
      <c r="Y14" s="303"/>
      <c r="Z14" s="212"/>
    </row>
    <row r="15" spans="2:26" s="143" customFormat="1">
      <c r="B15" s="144">
        <v>4</v>
      </c>
      <c r="C15" s="145" t="str">
        <f t="shared" si="0"/>
        <v>Nürtingen</v>
      </c>
      <c r="D15" s="62" t="s">
        <v>247</v>
      </c>
      <c r="E15" s="165" t="s">
        <v>667</v>
      </c>
      <c r="F15" s="307" t="str">
        <f>VLOOKUP($E15,'BDEW-Standard'!$B$3:$M$94,F$9,0)</f>
        <v>KO4</v>
      </c>
      <c r="H15" s="278">
        <f>ROUND(VLOOKUP($E15,'BDEW-Standard'!$B$3:$M$94,H$9,0),7)</f>
        <v>3.4428942999999999</v>
      </c>
      <c r="I15" s="278">
        <f>ROUND(VLOOKUP($E15,'BDEW-Standard'!$B$3:$M$94,I$9,0),7)</f>
        <v>-36.659050399999998</v>
      </c>
      <c r="J15" s="278">
        <f>ROUND(VLOOKUP($E15,'BDEW-Standard'!$B$3:$M$94,J$9,0),7)</f>
        <v>7.6083226000000002</v>
      </c>
      <c r="K15" s="278">
        <f>ROUND(VLOOKUP($E15,'BDEW-Standard'!$B$3:$M$94,K$9,0),7)</f>
        <v>7.4685000000000001E-2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0.97768382110526542</v>
      </c>
      <c r="R15" s="281">
        <f>ROUND(VLOOKUP(MID($E15,4,3),'Wochentag F(WT)'!$B$7:$J$22,R$9,0),4)</f>
        <v>1.0354000000000001</v>
      </c>
      <c r="S15" s="281">
        <f>ROUND(VLOOKUP(MID($E15,4,3),'Wochentag F(WT)'!$B$7:$J$22,S$9,0),4)</f>
        <v>1.0523</v>
      </c>
      <c r="T15" s="281">
        <f>ROUND(VLOOKUP(MID($E15,4,3),'Wochentag F(WT)'!$B$7:$J$22,T$9,0),4)</f>
        <v>1.0448999999999999</v>
      </c>
      <c r="U15" s="281">
        <f>ROUND(VLOOKUP(MID($E15,4,3),'Wochentag F(WT)'!$B$7:$J$22,U$9,0),4)</f>
        <v>1.0494000000000001</v>
      </c>
      <c r="V15" s="281">
        <f>ROUND(VLOOKUP(MID($E15,4,3),'Wochentag F(WT)'!$B$7:$J$22,V$9,0),4)</f>
        <v>0.98850000000000005</v>
      </c>
      <c r="W15" s="281">
        <f>ROUND(VLOOKUP(MID($E15,4,3),'Wochentag F(WT)'!$B$7:$J$22,W$9,0),4)</f>
        <v>0.88600000000000001</v>
      </c>
      <c r="X15" s="282">
        <f t="shared" si="2"/>
        <v>0.94349999999999934</v>
      </c>
      <c r="Y15" s="303"/>
      <c r="Z15" s="212"/>
    </row>
    <row r="16" spans="2:26" s="143" customFormat="1">
      <c r="B16" s="144">
        <v>5</v>
      </c>
      <c r="C16" s="145" t="str">
        <f t="shared" si="0"/>
        <v>Nürtingen</v>
      </c>
      <c r="D16" s="62" t="s">
        <v>247</v>
      </c>
      <c r="E16" s="165" t="s">
        <v>668</v>
      </c>
      <c r="F16" s="307" t="str">
        <f>VLOOKUP($E16,'BDEW-Standard'!$B$3:$M$94,F$9,0)</f>
        <v>BD4</v>
      </c>
      <c r="H16" s="278">
        <f>ROUND(VLOOKUP($E16,'BDEW-Standard'!$B$3:$M$94,H$9,0),7)</f>
        <v>3.75</v>
      </c>
      <c r="I16" s="278">
        <f>ROUND(VLOOKUP($E16,'BDEW-Standard'!$B$3:$M$94,I$9,0),7)</f>
        <v>-37.5</v>
      </c>
      <c r="J16" s="278">
        <f>ROUND(VLOOKUP($E16,'BDEW-Standard'!$B$3:$M$94,J$9,0),7)</f>
        <v>6.8</v>
      </c>
      <c r="K16" s="278">
        <f>ROUND(VLOOKUP($E16,'BDEW-Standard'!$B$3:$M$94,K$9,0),7)</f>
        <v>6.0911300000000002E-2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1.0126136468627658</v>
      </c>
      <c r="R16" s="281">
        <f>ROUND(VLOOKUP(MID($E16,4,3),'Wochentag F(WT)'!$B$7:$J$22,R$9,0),4)</f>
        <v>1.1052</v>
      </c>
      <c r="S16" s="281">
        <f>ROUND(VLOOKUP(MID($E16,4,3),'Wochentag F(WT)'!$B$7:$J$22,S$9,0),4)</f>
        <v>1.0857000000000001</v>
      </c>
      <c r="T16" s="281">
        <f>ROUND(VLOOKUP(MID($E16,4,3),'Wochentag F(WT)'!$B$7:$J$22,T$9,0),4)</f>
        <v>1.0378000000000001</v>
      </c>
      <c r="U16" s="281">
        <f>ROUND(VLOOKUP(MID($E16,4,3),'Wochentag F(WT)'!$B$7:$J$22,U$9,0),4)</f>
        <v>1.0622</v>
      </c>
      <c r="V16" s="281">
        <f>ROUND(VLOOKUP(MID($E16,4,3),'Wochentag F(WT)'!$B$7:$J$22,V$9,0),4)</f>
        <v>1.0266</v>
      </c>
      <c r="W16" s="281">
        <f>ROUND(VLOOKUP(MID($E16,4,3),'Wochentag F(WT)'!$B$7:$J$22,W$9,0),4)</f>
        <v>0.76290000000000002</v>
      </c>
      <c r="X16" s="282">
        <f t="shared" si="2"/>
        <v>0.91959999999999997</v>
      </c>
      <c r="Y16" s="303"/>
      <c r="Z16" s="212"/>
    </row>
    <row r="17" spans="2:26" s="143" customFormat="1">
      <c r="B17" s="144">
        <v>6</v>
      </c>
      <c r="C17" s="145" t="str">
        <f t="shared" si="0"/>
        <v>Nürtingen</v>
      </c>
      <c r="D17" s="62" t="s">
        <v>247</v>
      </c>
      <c r="E17" s="165" t="s">
        <v>669</v>
      </c>
      <c r="F17" s="307" t="str">
        <f>VLOOKUP($E17,'BDEW-Standard'!$B$3:$M$94,F$9,0)</f>
        <v>GA4</v>
      </c>
      <c r="H17" s="278">
        <f>ROUND(VLOOKUP($E17,'BDEW-Standard'!$B$3:$M$94,H$9,0),7)</f>
        <v>2.8195655999999998</v>
      </c>
      <c r="I17" s="278">
        <f>ROUND(VLOOKUP($E17,'BDEW-Standard'!$B$3:$M$94,I$9,0),7)</f>
        <v>-36</v>
      </c>
      <c r="J17" s="278">
        <f>ROUND(VLOOKUP($E17,'BDEW-Standard'!$B$3:$M$94,J$9,0),7)</f>
        <v>7.7368518000000002</v>
      </c>
      <c r="K17" s="278">
        <f>ROUND(VLOOKUP($E17,'BDEW-Standard'!$B$3:$M$94,K$9,0),7)</f>
        <v>0.157281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0.96576337685759206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Nürtingen</v>
      </c>
      <c r="D18" s="62" t="s">
        <v>247</v>
      </c>
      <c r="E18" s="165" t="s">
        <v>670</v>
      </c>
      <c r="F18" s="307" t="str">
        <f>VLOOKUP($E18,'BDEW-Standard'!$B$3:$M$94,F$9,0)</f>
        <v>BH4</v>
      </c>
      <c r="H18" s="278">
        <f>ROUND(VLOOKUP($E18,'BDEW-Standard'!$B$3:$M$94,H$9,0),7)</f>
        <v>2.4595180999999999</v>
      </c>
      <c r="I18" s="278">
        <f>ROUND(VLOOKUP($E18,'BDEW-Standard'!$B$3:$M$94,I$9,0),7)</f>
        <v>-35.253212400000002</v>
      </c>
      <c r="J18" s="278">
        <f>ROUND(VLOOKUP($E18,'BDEW-Standard'!$B$3:$M$94,J$9,0),7)</f>
        <v>6.0587001000000003</v>
      </c>
      <c r="K18" s="278">
        <f>ROUND(VLOOKUP($E18,'BDEW-Standard'!$B$3:$M$94,K$9,0),7)</f>
        <v>0.16473699999999999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1.043802057143173</v>
      </c>
      <c r="R18" s="281">
        <f>ROUND(VLOOKUP(MID($E18,4,3),'Wochentag F(WT)'!$B$7:$J$22,R$9,0),4)</f>
        <v>0.97670000000000001</v>
      </c>
      <c r="S18" s="281">
        <f>ROUND(VLOOKUP(MID($E18,4,3),'Wochentag F(WT)'!$B$7:$J$22,S$9,0),4)</f>
        <v>1.0388999999999999</v>
      </c>
      <c r="T18" s="281">
        <f>ROUND(VLOOKUP(MID($E18,4,3),'Wochentag F(WT)'!$B$7:$J$22,T$9,0),4)</f>
        <v>1.0027999999999999</v>
      </c>
      <c r="U18" s="281">
        <f>ROUND(VLOOKUP(MID($E18,4,3),'Wochentag F(WT)'!$B$7:$J$22,U$9,0),4)</f>
        <v>1.0162</v>
      </c>
      <c r="V18" s="281">
        <f>ROUND(VLOOKUP(MID($E18,4,3),'Wochentag F(WT)'!$B$7:$J$22,V$9,0),4)</f>
        <v>1.0024</v>
      </c>
      <c r="W18" s="281">
        <f>ROUND(VLOOKUP(MID($E18,4,3),'Wochentag F(WT)'!$B$7:$J$22,W$9,0),4)</f>
        <v>1.0043</v>
      </c>
      <c r="X18" s="282">
        <f t="shared" si="2"/>
        <v>0.95870000000000122</v>
      </c>
      <c r="Y18" s="303"/>
      <c r="Z18" s="212"/>
    </row>
    <row r="19" spans="2:26" s="143" customFormat="1">
      <c r="B19" s="144">
        <v>8</v>
      </c>
      <c r="C19" s="145" t="str">
        <f t="shared" si="0"/>
        <v>Nürtingen</v>
      </c>
      <c r="D19" s="62" t="s">
        <v>247</v>
      </c>
      <c r="E19" s="165" t="s">
        <v>671</v>
      </c>
      <c r="F19" s="307" t="str">
        <f>VLOOKUP($E19,'BDEW-Standard'!$B$3:$M$94,F$9,0)</f>
        <v>WA4</v>
      </c>
      <c r="H19" s="278">
        <f>ROUND(VLOOKUP($E19,'BDEW-Standard'!$B$3:$M$94,H$9,0),7)</f>
        <v>1.0535874999999999</v>
      </c>
      <c r="I19" s="278">
        <f>ROUND(VLOOKUP($E19,'BDEW-Standard'!$B$3:$M$94,I$9,0),7)</f>
        <v>-35.299999999999997</v>
      </c>
      <c r="J19" s="278">
        <f>ROUND(VLOOKUP($E19,'BDEW-Standard'!$B$3:$M$94,J$9,0),7)</f>
        <v>4.8662747</v>
      </c>
      <c r="K19" s="278">
        <f>ROUND(VLOOKUP($E19,'BDEW-Standard'!$B$3:$M$94,K$9,0),7)</f>
        <v>0.68110420000000005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1.0844348950990992</v>
      </c>
      <c r="R19" s="281">
        <f>ROUND(VLOOKUP(MID($E19,4,3),'Wochentag F(WT)'!$B$7:$J$22,R$9,0),4)</f>
        <v>1.2457</v>
      </c>
      <c r="S19" s="281">
        <f>ROUND(VLOOKUP(MID($E19,4,3),'Wochentag F(WT)'!$B$7:$J$22,S$9,0),4)</f>
        <v>1.2615000000000001</v>
      </c>
      <c r="T19" s="281">
        <f>ROUND(VLOOKUP(MID($E19,4,3),'Wochentag F(WT)'!$B$7:$J$22,T$9,0),4)</f>
        <v>1.2706999999999999</v>
      </c>
      <c r="U19" s="281">
        <f>ROUND(VLOOKUP(MID($E19,4,3),'Wochentag F(WT)'!$B$7:$J$22,U$9,0),4)</f>
        <v>1.2430000000000001</v>
      </c>
      <c r="V19" s="281">
        <f>ROUND(VLOOKUP(MID($E19,4,3),'Wochentag F(WT)'!$B$7:$J$22,V$9,0),4)</f>
        <v>1.1275999999999999</v>
      </c>
      <c r="W19" s="281">
        <f>ROUND(VLOOKUP(MID($E19,4,3),'Wochentag F(WT)'!$B$7:$J$22,W$9,0),4)</f>
        <v>0.38769999999999999</v>
      </c>
      <c r="X19" s="282">
        <f t="shared" si="2"/>
        <v>0.46379999999999999</v>
      </c>
      <c r="Y19" s="303"/>
      <c r="Z19" s="212"/>
    </row>
    <row r="20" spans="2:26" s="143" customFormat="1">
      <c r="B20" s="144">
        <v>9</v>
      </c>
      <c r="C20" s="145" t="str">
        <f t="shared" si="0"/>
        <v>Nürtingen</v>
      </c>
      <c r="D20" s="62" t="s">
        <v>247</v>
      </c>
      <c r="E20" s="165" t="s">
        <v>672</v>
      </c>
      <c r="F20" s="307" t="str">
        <f>VLOOKUP($E20,'BDEW-Standard'!$B$3:$M$94,F$9,0)</f>
        <v>GB4</v>
      </c>
      <c r="H20" s="278">
        <f>ROUND(VLOOKUP($E20,'BDEW-Standard'!$B$3:$M$94,H$9,0),7)</f>
        <v>3.6017736</v>
      </c>
      <c r="I20" s="278">
        <f>ROUND(VLOOKUP($E20,'BDEW-Standard'!$B$3:$M$94,I$9,0),7)</f>
        <v>-37.882536799999997</v>
      </c>
      <c r="J20" s="278">
        <f>ROUND(VLOOKUP($E20,'BDEW-Standard'!$B$3:$M$94,J$9,0),7)</f>
        <v>6.9836070000000001</v>
      </c>
      <c r="K20" s="278">
        <f>ROUND(VLOOKUP($E20,'BDEW-Standard'!$B$3:$M$94,K$9,0),7)</f>
        <v>5.4826199999999999E-2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0.90239375975311864</v>
      </c>
      <c r="R20" s="281">
        <f>ROUND(VLOOKUP(MID($E20,4,3),'Wochentag F(WT)'!$B$7:$J$22,R$9,0),4)</f>
        <v>0.98970000000000002</v>
      </c>
      <c r="S20" s="281">
        <f>ROUND(VLOOKUP(MID($E20,4,3),'Wochentag F(WT)'!$B$7:$J$22,S$9,0),4)</f>
        <v>0.9627</v>
      </c>
      <c r="T20" s="281">
        <f>ROUND(VLOOKUP(MID($E20,4,3),'Wochentag F(WT)'!$B$7:$J$22,T$9,0),4)</f>
        <v>1.0507</v>
      </c>
      <c r="U20" s="281">
        <f>ROUND(VLOOKUP(MID($E20,4,3),'Wochentag F(WT)'!$B$7:$J$22,U$9,0),4)</f>
        <v>1.0551999999999999</v>
      </c>
      <c r="V20" s="281">
        <f>ROUND(VLOOKUP(MID($E20,4,3),'Wochentag F(WT)'!$B$7:$J$22,V$9,0),4)</f>
        <v>1.0297000000000001</v>
      </c>
      <c r="W20" s="281">
        <f>ROUND(VLOOKUP(MID($E20,4,3),'Wochentag F(WT)'!$B$7:$J$22,W$9,0),4)</f>
        <v>0.97670000000000001</v>
      </c>
      <c r="X20" s="282">
        <f t="shared" si="2"/>
        <v>0.9352999999999998</v>
      </c>
      <c r="Y20" s="303"/>
      <c r="Z20" s="212"/>
    </row>
    <row r="21" spans="2:26" s="143" customFormat="1">
      <c r="B21" s="144">
        <v>10</v>
      </c>
      <c r="C21" s="145" t="str">
        <f t="shared" si="0"/>
        <v>Nürtingen</v>
      </c>
      <c r="D21" s="62" t="s">
        <v>247</v>
      </c>
      <c r="E21" s="165" t="s">
        <v>37</v>
      </c>
      <c r="F21" s="307" t="str">
        <f>VLOOKUP($E21,'BDEW-Standard'!$B$3:$M$158,F$9,0)</f>
        <v>W14</v>
      </c>
      <c r="H21" s="278">
        <f>ROUND(VLOOKUP($E21,'BDEW-Standard'!$B$3:$M$158,H$9,0),7)</f>
        <v>3.1764404000000002</v>
      </c>
      <c r="I21" s="278">
        <f>ROUND(VLOOKUP($E21,'BDEW-Standard'!$B$3:$M$158,I$9,0),7)</f>
        <v>-37.410583199999998</v>
      </c>
      <c r="J21" s="278">
        <f>ROUND(VLOOKUP($E21,'BDEW-Standard'!$B$3:$M$158,J$9,0),7)</f>
        <v>6.1622336000000004</v>
      </c>
      <c r="K21" s="278">
        <f>ROUND(VLOOKUP($E21,'BDEW-Standard'!$B$3:$M$158,K$9,0),7)</f>
        <v>7.5937699999999997E-2</v>
      </c>
      <c r="L21" s="279">
        <f>ROUND(VLOOKUP($E21,'BDEW-Standard'!$B$3:$M$158,L$9,0),1)</f>
        <v>40</v>
      </c>
      <c r="M21" s="278">
        <f>ROUND(VLOOKUP($E21,'BDEW-Standard'!$B$3:$M$158,M$9,0),7)</f>
        <v>0</v>
      </c>
      <c r="N21" s="278">
        <f>ROUND(VLOOKUP($E21,'BDEW-Standard'!$B$3:$M$158,N$9,0),7)</f>
        <v>0</v>
      </c>
      <c r="O21" s="278">
        <f>ROUND(VLOOKUP($E21,'BDEW-Standard'!$B$3:$M$158,O$9,0),7)</f>
        <v>0</v>
      </c>
      <c r="P21" s="278">
        <f>ROUND(VLOOKUP($E21,'BDEW-Standard'!$B$3:$M$158,P$9,0),7)</f>
        <v>0</v>
      </c>
      <c r="Q21" s="280">
        <f t="shared" si="1"/>
        <v>0.95374033288062621</v>
      </c>
      <c r="R21" s="281">
        <f>ROUND(VLOOKUP(MID($E21,4,3),'Wochentag F(WT)'!$B$7:$J$22,R$9,0),4)</f>
        <v>1</v>
      </c>
      <c r="S21" s="281">
        <f>ROUND(VLOOKUP(MID($E21,4,3),'Wochentag F(WT)'!$B$7:$J$22,S$9,0),4)</f>
        <v>1</v>
      </c>
      <c r="T21" s="281">
        <f>ROUND(VLOOKUP(MID($E21,4,3),'Wochentag F(WT)'!$B$7:$J$22,T$9,0),4)</f>
        <v>1</v>
      </c>
      <c r="U21" s="281">
        <f>ROUND(VLOOKUP(MID($E21,4,3),'Wochentag F(WT)'!$B$7:$J$22,U$9,0),4)</f>
        <v>1</v>
      </c>
      <c r="V21" s="281">
        <f>ROUND(VLOOKUP(MID($E21,4,3),'Wochentag F(WT)'!$B$7:$J$22,V$9,0),4)</f>
        <v>1</v>
      </c>
      <c r="W21" s="281">
        <f>ROUND(VLOOKUP(MID($E21,4,3),'Wochentag F(WT)'!$B$7:$J$22,W$9,0),4)</f>
        <v>1</v>
      </c>
      <c r="X21" s="282">
        <f t="shared" si="2"/>
        <v>1</v>
      </c>
      <c r="Y21" s="303"/>
      <c r="Z21" s="212"/>
    </row>
    <row r="22" spans="2:26" s="143" customFormat="1">
      <c r="B22" s="144">
        <v>11</v>
      </c>
      <c r="C22" s="145" t="str">
        <f t="shared" si="0"/>
        <v>Nürtingen</v>
      </c>
      <c r="D22" s="62" t="s">
        <v>247</v>
      </c>
      <c r="E22" s="165" t="s">
        <v>45</v>
      </c>
      <c r="F22" s="307" t="str">
        <f>VLOOKUP($E22,'BDEW-Standard'!$B$3:$M$158,F$9,0)</f>
        <v>W24</v>
      </c>
      <c r="H22" s="278">
        <f>ROUND(VLOOKUP($E22,'BDEW-Standard'!$B$3:$M$158,H$9,0),7)</f>
        <v>2.5078170000000002</v>
      </c>
      <c r="I22" s="278">
        <f>ROUND(VLOOKUP($E22,'BDEW-Standard'!$B$3:$M$158,I$9,0),7)</f>
        <v>-35.036736300000001</v>
      </c>
      <c r="J22" s="278">
        <f>ROUND(VLOOKUP($E22,'BDEW-Standard'!$B$3:$M$158,J$9,0),7)</f>
        <v>6.2430158999999996</v>
      </c>
      <c r="K22" s="278">
        <f>ROUND(VLOOKUP($E22,'BDEW-Standard'!$B$3:$M$158,K$9,0),7)</f>
        <v>0.1025195</v>
      </c>
      <c r="L22" s="279">
        <f>ROUND(VLOOKUP($E22,'BDEW-Standard'!$B$3:$M$158,L$9,0),1)</f>
        <v>40</v>
      </c>
      <c r="M22" s="278">
        <f>ROUND(VLOOKUP($E22,'BDEW-Standard'!$B$3:$M$158,M$9,0),7)</f>
        <v>0</v>
      </c>
      <c r="N22" s="278">
        <f>ROUND(VLOOKUP($E22,'BDEW-Standard'!$B$3:$M$158,N$9,0),7)</f>
        <v>0</v>
      </c>
      <c r="O22" s="278">
        <f>ROUND(VLOOKUP($E22,'BDEW-Standard'!$B$3:$M$158,O$9,0),7)</f>
        <v>0</v>
      </c>
      <c r="P22" s="278">
        <f>ROUND(VLOOKUP($E22,'BDEW-Standard'!$B$3:$M$158,P$9,0),7)</f>
        <v>0</v>
      </c>
      <c r="Q22" s="280">
        <f t="shared" si="1"/>
        <v>1.0107516326442527</v>
      </c>
      <c r="R22" s="281">
        <f>ROUND(VLOOKUP(MID($E22,4,3),'Wochentag F(WT)'!$B$7:$J$22,R$9,0),4)</f>
        <v>1</v>
      </c>
      <c r="S22" s="281">
        <f>ROUND(VLOOKUP(MID($E22,4,3),'Wochentag F(WT)'!$B$7:$J$22,S$9,0),4)</f>
        <v>1</v>
      </c>
      <c r="T22" s="281">
        <f>ROUND(VLOOKUP(MID($E22,4,3),'Wochentag F(WT)'!$B$7:$J$22,T$9,0),4)</f>
        <v>1</v>
      </c>
      <c r="U22" s="281">
        <f>ROUND(VLOOKUP(MID($E22,4,3),'Wochentag F(WT)'!$B$7:$J$22,U$9,0),4)</f>
        <v>1</v>
      </c>
      <c r="V22" s="281">
        <f>ROUND(VLOOKUP(MID($E22,4,3),'Wochentag F(WT)'!$B$7:$J$22,V$9,0),4)</f>
        <v>1</v>
      </c>
      <c r="W22" s="281">
        <f>ROUND(VLOOKUP(MID($E22,4,3),'Wochentag F(WT)'!$B$7:$J$22,W$9,0),4)</f>
        <v>1</v>
      </c>
      <c r="X22" s="282">
        <f t="shared" si="2"/>
        <v>1</v>
      </c>
      <c r="Y22" s="303"/>
      <c r="Z22" s="212"/>
    </row>
    <row r="23" spans="2:26" s="143" customFormat="1">
      <c r="B23" s="144">
        <v>12</v>
      </c>
      <c r="C23" s="145" t="str">
        <f t="shared" si="0"/>
        <v>Nürtingen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Nürtingen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Nürtingen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Nürtingen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Nürtingen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Nürtingen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Nürtingen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Nürtingen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Nürtingen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Nürtingen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Nürtingen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Nürtingen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Nürtingen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Nürtingen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Nürtingen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Nürtingen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Nürtingen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Nürtingen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Nürtingen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33" zoomScale="80" zoomScaleNormal="80" workbookViewId="0">
      <selection activeCell="M94" sqref="M94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343</v>
      </c>
      <c r="B1" s="216">
        <v>42173</v>
      </c>
      <c r="D1" s="131" t="s">
        <v>450</v>
      </c>
      <c r="F1" s="217" t="s">
        <v>544</v>
      </c>
      <c r="N1" s="218"/>
    </row>
    <row r="2" spans="1:14" ht="25.5">
      <c r="A2" s="219" t="s">
        <v>267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313</v>
      </c>
      <c r="D95" s="235" t="s">
        <v>268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318</v>
      </c>
      <c r="D96" s="235" t="s">
        <v>268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323</v>
      </c>
      <c r="D97" s="235" t="s">
        <v>268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328</v>
      </c>
      <c r="D98" s="235" t="s">
        <v>268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281</v>
      </c>
      <c r="D99" s="235" t="s">
        <v>268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285</v>
      </c>
      <c r="D100" s="235" t="s">
        <v>268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289</v>
      </c>
      <c r="D101" s="235" t="s">
        <v>268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293</v>
      </c>
      <c r="D102" s="235" t="s">
        <v>268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297</v>
      </c>
      <c r="D103" s="235" t="s">
        <v>268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301</v>
      </c>
      <c r="D104" s="235" t="s">
        <v>268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305</v>
      </c>
      <c r="D105" s="235" t="s">
        <v>268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309</v>
      </c>
      <c r="D106" s="235" t="s">
        <v>268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314</v>
      </c>
      <c r="D107" s="235" t="s">
        <v>268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319</v>
      </c>
      <c r="D108" s="235" t="s">
        <v>268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324</v>
      </c>
      <c r="D109" s="235" t="s">
        <v>268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329</v>
      </c>
      <c r="D110" s="235" t="s">
        <v>268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269</v>
      </c>
      <c r="D111" s="235" t="s">
        <v>268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270</v>
      </c>
      <c r="D112" s="235" t="s">
        <v>268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271</v>
      </c>
      <c r="D113" s="235" t="s">
        <v>268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272</v>
      </c>
      <c r="D114" s="235" t="s">
        <v>268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282</v>
      </c>
      <c r="D115" s="235" t="s">
        <v>268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286</v>
      </c>
      <c r="D116" s="235" t="s">
        <v>268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290</v>
      </c>
      <c r="D117" s="235" t="s">
        <v>268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294</v>
      </c>
      <c r="D118" s="235" t="s">
        <v>268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273</v>
      </c>
      <c r="D119" s="235" t="s">
        <v>268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275</v>
      </c>
      <c r="D120" s="235" t="s">
        <v>268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277</v>
      </c>
      <c r="D121" s="235" t="s">
        <v>268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279</v>
      </c>
      <c r="D122" s="235" t="s">
        <v>268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315</v>
      </c>
      <c r="D123" s="235" t="s">
        <v>268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320</v>
      </c>
      <c r="D124" s="235" t="s">
        <v>268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325</v>
      </c>
      <c r="D125" s="235" t="s">
        <v>268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330</v>
      </c>
      <c r="D126" s="235" t="s">
        <v>268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283</v>
      </c>
      <c r="D127" s="235" t="s">
        <v>268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287</v>
      </c>
      <c r="D128" s="235" t="s">
        <v>268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291</v>
      </c>
      <c r="D129" s="235" t="s">
        <v>268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295</v>
      </c>
      <c r="D130" s="235" t="s">
        <v>268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284</v>
      </c>
      <c r="D131" s="235" t="s">
        <v>268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288</v>
      </c>
      <c r="D132" s="235" t="s">
        <v>268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292</v>
      </c>
      <c r="D133" s="235" t="s">
        <v>268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296</v>
      </c>
      <c r="D134" s="235" t="s">
        <v>268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298</v>
      </c>
      <c r="D135" s="235" t="s">
        <v>268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302</v>
      </c>
      <c r="D136" s="235" t="s">
        <v>268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306</v>
      </c>
      <c r="D137" s="235" t="s">
        <v>268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310</v>
      </c>
      <c r="D138" s="235" t="s">
        <v>268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299</v>
      </c>
      <c r="D139" s="235" t="s">
        <v>268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303</v>
      </c>
      <c r="D140" s="235" t="s">
        <v>268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307</v>
      </c>
      <c r="D141" s="235" t="s">
        <v>268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311</v>
      </c>
      <c r="D142" s="235" t="s">
        <v>268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274</v>
      </c>
      <c r="D143" s="235" t="s">
        <v>268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276</v>
      </c>
      <c r="D144" s="235" t="s">
        <v>268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278</v>
      </c>
      <c r="D145" s="235" t="s">
        <v>268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280</v>
      </c>
      <c r="D146" s="235" t="s">
        <v>268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300</v>
      </c>
      <c r="D147" s="235" t="s">
        <v>268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304</v>
      </c>
      <c r="D148" s="235" t="s">
        <v>268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308</v>
      </c>
      <c r="D149" s="235" t="s">
        <v>268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312</v>
      </c>
      <c r="D150" s="235" t="s">
        <v>268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316</v>
      </c>
      <c r="D151" s="235" t="s">
        <v>268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321</v>
      </c>
      <c r="D152" s="235" t="s">
        <v>268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326</v>
      </c>
      <c r="D153" s="235" t="s">
        <v>268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331</v>
      </c>
      <c r="D154" s="235" t="s">
        <v>268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317</v>
      </c>
      <c r="D155" s="235" t="s">
        <v>268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322</v>
      </c>
      <c r="D156" s="235" t="s">
        <v>268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327</v>
      </c>
      <c r="D157" s="235" t="s">
        <v>268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332</v>
      </c>
      <c r="D158" s="235" t="s">
        <v>268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Stadtwerke Nürtingen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440</v>
      </c>
      <c r="C5" s="64" t="str">
        <f>Netzbetreiber!D28</f>
        <v>Nürtingen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438</v>
      </c>
      <c r="C6" s="63" t="str">
        <f>Netzbetreiber!$D$11</f>
        <v>9870040200006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44835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454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463</v>
      </c>
      <c r="N9" s="91" t="s">
        <v>368</v>
      </c>
      <c r="O9" s="92" t="s">
        <v>369</v>
      </c>
      <c r="P9" s="92" t="s">
        <v>370</v>
      </c>
      <c r="Q9" s="92" t="s">
        <v>371</v>
      </c>
      <c r="R9" s="92" t="s">
        <v>372</v>
      </c>
      <c r="S9" s="92" t="s">
        <v>373</v>
      </c>
      <c r="T9" s="92" t="s">
        <v>374</v>
      </c>
      <c r="U9" s="92" t="s">
        <v>375</v>
      </c>
      <c r="V9" s="92" t="s">
        <v>376</v>
      </c>
      <c r="W9" s="92" t="s">
        <v>377</v>
      </c>
      <c r="X9" s="92" t="s">
        <v>378</v>
      </c>
      <c r="Y9" s="92" t="s">
        <v>379</v>
      </c>
      <c r="Z9" s="92" t="s">
        <v>380</v>
      </c>
      <c r="AA9" s="92" t="s">
        <v>381</v>
      </c>
      <c r="AB9" s="92" t="s">
        <v>382</v>
      </c>
      <c r="AC9" s="93" t="s">
        <v>383</v>
      </c>
      <c r="AD9" s="93" t="s">
        <v>425</v>
      </c>
    </row>
    <row r="10" spans="2:30" ht="72" customHeight="1" thickBot="1">
      <c r="B10" s="362" t="s">
        <v>582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394</v>
      </c>
      <c r="G10" s="360"/>
      <c r="H10" s="360"/>
      <c r="I10" s="360"/>
      <c r="J10" s="360"/>
      <c r="K10" s="360"/>
      <c r="L10" s="361"/>
      <c r="M10" s="96" t="s">
        <v>464</v>
      </c>
      <c r="N10" s="97" t="s">
        <v>465</v>
      </c>
      <c r="O10" s="98" t="s">
        <v>466</v>
      </c>
      <c r="P10" s="99" t="s">
        <v>467</v>
      </c>
      <c r="Q10" s="99" t="s">
        <v>468</v>
      </c>
      <c r="R10" s="99" t="s">
        <v>469</v>
      </c>
      <c r="S10" s="99" t="s">
        <v>470</v>
      </c>
      <c r="T10" s="99" t="s">
        <v>471</v>
      </c>
      <c r="U10" s="99" t="s">
        <v>472</v>
      </c>
      <c r="V10" s="99" t="s">
        <v>473</v>
      </c>
      <c r="W10" s="99" t="s">
        <v>474</v>
      </c>
      <c r="X10" s="99" t="s">
        <v>475</v>
      </c>
      <c r="Y10" s="99" t="s">
        <v>476</v>
      </c>
      <c r="Z10" s="99" t="s">
        <v>477</v>
      </c>
      <c r="AA10" s="99" t="s">
        <v>478</v>
      </c>
      <c r="AB10" s="99" t="s">
        <v>479</v>
      </c>
      <c r="AC10" s="100" t="s">
        <v>480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385</v>
      </c>
      <c r="G11" s="107" t="s">
        <v>386</v>
      </c>
      <c r="H11" s="107" t="s">
        <v>387</v>
      </c>
      <c r="I11" s="107" t="s">
        <v>388</v>
      </c>
      <c r="J11" s="107" t="s">
        <v>389</v>
      </c>
      <c r="K11" s="107" t="s">
        <v>390</v>
      </c>
      <c r="L11" s="108" t="s">
        <v>391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395</v>
      </c>
      <c r="C12" s="110"/>
      <c r="D12" s="111">
        <v>4</v>
      </c>
      <c r="E12" s="314">
        <f>MIN(SUMPRODUCT($M$11:$AD$11,M12:AD12),1)</f>
        <v>1</v>
      </c>
      <c r="F12" s="311" t="s">
        <v>391</v>
      </c>
      <c r="G12" s="78" t="s">
        <v>391</v>
      </c>
      <c r="H12" s="78" t="s">
        <v>391</v>
      </c>
      <c r="I12" s="78" t="s">
        <v>391</v>
      </c>
      <c r="J12" s="78" t="s">
        <v>391</v>
      </c>
      <c r="K12" s="78" t="s">
        <v>391</v>
      </c>
      <c r="L12" s="79" t="s">
        <v>391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396</v>
      </c>
      <c r="C13" s="117"/>
      <c r="D13" s="111">
        <v>5</v>
      </c>
      <c r="E13" s="315">
        <f t="shared" ref="E13:E35" si="0">MIN(SUMPRODUCT($M$11:$AD$11,M13:AD13),1)</f>
        <v>1</v>
      </c>
      <c r="F13" s="312" t="s">
        <v>391</v>
      </c>
      <c r="G13" s="80" t="s">
        <v>391</v>
      </c>
      <c r="H13" s="80" t="s">
        <v>391</v>
      </c>
      <c r="I13" s="80" t="s">
        <v>391</v>
      </c>
      <c r="J13" s="80" t="s">
        <v>391</v>
      </c>
      <c r="K13" s="80" t="s">
        <v>391</v>
      </c>
      <c r="L13" s="81" t="s">
        <v>391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397</v>
      </c>
      <c r="C14" s="117"/>
      <c r="D14" s="111">
        <v>6</v>
      </c>
      <c r="E14" s="315">
        <f t="shared" si="0"/>
        <v>0</v>
      </c>
      <c r="F14" s="312" t="s">
        <v>391</v>
      </c>
      <c r="G14" s="80" t="s">
        <v>398</v>
      </c>
      <c r="H14" s="80" t="s">
        <v>398</v>
      </c>
      <c r="I14" s="80" t="s">
        <v>398</v>
      </c>
      <c r="J14" s="80" t="s">
        <v>398</v>
      </c>
      <c r="K14" s="80" t="s">
        <v>398</v>
      </c>
      <c r="L14" s="81" t="s">
        <v>398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399</v>
      </c>
      <c r="C15" s="117"/>
      <c r="D15" s="111">
        <v>7</v>
      </c>
      <c r="E15" s="315">
        <f t="shared" si="0"/>
        <v>0</v>
      </c>
      <c r="F15" s="312" t="s">
        <v>398</v>
      </c>
      <c r="G15" s="80" t="s">
        <v>390</v>
      </c>
      <c r="H15" s="80" t="s">
        <v>398</v>
      </c>
      <c r="I15" s="80" t="s">
        <v>398</v>
      </c>
      <c r="J15" s="80" t="s">
        <v>398</v>
      </c>
      <c r="K15" s="80" t="s">
        <v>398</v>
      </c>
      <c r="L15" s="81" t="s">
        <v>398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411</v>
      </c>
      <c r="C16" s="117"/>
      <c r="D16" s="111">
        <v>8</v>
      </c>
      <c r="E16" s="315">
        <f t="shared" si="0"/>
        <v>1</v>
      </c>
      <c r="F16" s="312" t="s">
        <v>398</v>
      </c>
      <c r="G16" s="80" t="s">
        <v>398</v>
      </c>
      <c r="H16" s="80" t="s">
        <v>398</v>
      </c>
      <c r="I16" s="80" t="s">
        <v>398</v>
      </c>
      <c r="J16" s="80" t="s">
        <v>391</v>
      </c>
      <c r="K16" s="80" t="s">
        <v>398</v>
      </c>
      <c r="L16" s="81" t="s">
        <v>398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412</v>
      </c>
      <c r="C17" s="117"/>
      <c r="D17" s="111">
        <v>9</v>
      </c>
      <c r="E17" s="315">
        <f t="shared" si="0"/>
        <v>1</v>
      </c>
      <c r="F17" s="312" t="s">
        <v>398</v>
      </c>
      <c r="G17" s="80" t="s">
        <v>398</v>
      </c>
      <c r="H17" s="80" t="s">
        <v>398</v>
      </c>
      <c r="I17" s="80" t="s">
        <v>398</v>
      </c>
      <c r="J17" s="80" t="s">
        <v>398</v>
      </c>
      <c r="K17" s="80" t="s">
        <v>398</v>
      </c>
      <c r="L17" s="81" t="s">
        <v>391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413</v>
      </c>
      <c r="C18" s="117"/>
      <c r="D18" s="111">
        <v>10</v>
      </c>
      <c r="E18" s="315">
        <f t="shared" si="0"/>
        <v>1</v>
      </c>
      <c r="F18" s="312" t="s">
        <v>391</v>
      </c>
      <c r="G18" s="80" t="s">
        <v>398</v>
      </c>
      <c r="H18" s="80" t="s">
        <v>398</v>
      </c>
      <c r="I18" s="80" t="s">
        <v>398</v>
      </c>
      <c r="J18" s="80" t="s">
        <v>398</v>
      </c>
      <c r="K18" s="80" t="s">
        <v>398</v>
      </c>
      <c r="L18" s="81" t="s">
        <v>398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650</v>
      </c>
      <c r="C19" s="340"/>
      <c r="D19" s="111"/>
      <c r="E19" s="315">
        <v>1</v>
      </c>
      <c r="F19" s="312" t="s">
        <v>391</v>
      </c>
      <c r="G19" s="80" t="s">
        <v>391</v>
      </c>
      <c r="H19" s="80" t="s">
        <v>391</v>
      </c>
      <c r="I19" s="80" t="s">
        <v>391</v>
      </c>
      <c r="J19" s="80" t="s">
        <v>391</v>
      </c>
      <c r="K19" s="80" t="s">
        <v>391</v>
      </c>
      <c r="L19" s="81" t="s">
        <v>391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400</v>
      </c>
      <c r="C20" s="117"/>
      <c r="D20" s="111">
        <v>11</v>
      </c>
      <c r="E20" s="315">
        <f t="shared" si="0"/>
        <v>1</v>
      </c>
      <c r="F20" s="312" t="s">
        <v>391</v>
      </c>
      <c r="G20" s="80" t="s">
        <v>391</v>
      </c>
      <c r="H20" s="80" t="s">
        <v>391</v>
      </c>
      <c r="I20" s="80" t="s">
        <v>391</v>
      </c>
      <c r="J20" s="80" t="s">
        <v>391</v>
      </c>
      <c r="K20" s="80" t="s">
        <v>391</v>
      </c>
      <c r="L20" s="81" t="s">
        <v>391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15">
        <f t="shared" si="0"/>
        <v>1</v>
      </c>
      <c r="F21" s="312" t="s">
        <v>398</v>
      </c>
      <c r="G21" s="80" t="s">
        <v>398</v>
      </c>
      <c r="H21" s="80" t="s">
        <v>398</v>
      </c>
      <c r="I21" s="80" t="s">
        <v>391</v>
      </c>
      <c r="J21" s="80" t="s">
        <v>398</v>
      </c>
      <c r="K21" s="80" t="s">
        <v>398</v>
      </c>
      <c r="L21" s="81" t="s">
        <v>398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414</v>
      </c>
      <c r="C22" s="117"/>
      <c r="D22" s="111">
        <v>13</v>
      </c>
      <c r="E22" s="315">
        <f t="shared" si="0"/>
        <v>1</v>
      </c>
      <c r="F22" s="312" t="s">
        <v>398</v>
      </c>
      <c r="G22" s="80" t="s">
        <v>398</v>
      </c>
      <c r="H22" s="80" t="s">
        <v>398</v>
      </c>
      <c r="I22" s="80" t="s">
        <v>398</v>
      </c>
      <c r="J22" s="80" t="s">
        <v>398</v>
      </c>
      <c r="K22" s="80" t="s">
        <v>398</v>
      </c>
      <c r="L22" s="81" t="s">
        <v>391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415</v>
      </c>
      <c r="C23" s="117"/>
      <c r="D23" s="111">
        <v>14</v>
      </c>
      <c r="E23" s="315">
        <f t="shared" si="0"/>
        <v>1</v>
      </c>
      <c r="F23" s="312" t="s">
        <v>391</v>
      </c>
      <c r="G23" s="80" t="s">
        <v>398</v>
      </c>
      <c r="H23" s="80" t="s">
        <v>398</v>
      </c>
      <c r="I23" s="80" t="s">
        <v>398</v>
      </c>
      <c r="J23" s="80" t="s">
        <v>398</v>
      </c>
      <c r="K23" s="80" t="s">
        <v>398</v>
      </c>
      <c r="L23" s="81" t="s">
        <v>398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416</v>
      </c>
      <c r="C24" s="117"/>
      <c r="D24" s="111">
        <v>15</v>
      </c>
      <c r="E24" s="315">
        <f t="shared" si="0"/>
        <v>1</v>
      </c>
      <c r="F24" s="312" t="s">
        <v>398</v>
      </c>
      <c r="G24" s="80" t="s">
        <v>398</v>
      </c>
      <c r="H24" s="80" t="s">
        <v>398</v>
      </c>
      <c r="I24" s="80" t="s">
        <v>391</v>
      </c>
      <c r="J24" s="80" t="s">
        <v>398</v>
      </c>
      <c r="K24" s="80" t="s">
        <v>398</v>
      </c>
      <c r="L24" s="81" t="s">
        <v>398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401</v>
      </c>
      <c r="C25" s="117"/>
      <c r="D25" s="111">
        <v>16</v>
      </c>
      <c r="E25" s="315">
        <f t="shared" si="0"/>
        <v>0</v>
      </c>
      <c r="F25" s="312" t="s">
        <v>391</v>
      </c>
      <c r="G25" s="80" t="s">
        <v>391</v>
      </c>
      <c r="H25" s="80" t="s">
        <v>391</v>
      </c>
      <c r="I25" s="80" t="s">
        <v>391</v>
      </c>
      <c r="J25" s="80" t="s">
        <v>391</v>
      </c>
      <c r="K25" s="80" t="s">
        <v>391</v>
      </c>
      <c r="L25" s="81" t="s">
        <v>391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402</v>
      </c>
      <c r="C26" s="117"/>
      <c r="D26" s="111">
        <v>17</v>
      </c>
      <c r="E26" s="315">
        <f t="shared" si="0"/>
        <v>0</v>
      </c>
      <c r="F26" s="312" t="s">
        <v>391</v>
      </c>
      <c r="G26" s="80" t="s">
        <v>391</v>
      </c>
      <c r="H26" s="80" t="s">
        <v>391</v>
      </c>
      <c r="I26" s="80" t="s">
        <v>391</v>
      </c>
      <c r="J26" s="80" t="s">
        <v>391</v>
      </c>
      <c r="K26" s="80" t="s">
        <v>391</v>
      </c>
      <c r="L26" s="81" t="s">
        <v>391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649</v>
      </c>
      <c r="C27" s="340"/>
      <c r="D27" s="111"/>
      <c r="E27" s="315">
        <v>1</v>
      </c>
      <c r="F27" s="312" t="s">
        <v>391</v>
      </c>
      <c r="G27" s="80" t="s">
        <v>391</v>
      </c>
      <c r="H27" s="80" t="s">
        <v>391</v>
      </c>
      <c r="I27" s="80" t="s">
        <v>391</v>
      </c>
      <c r="J27" s="80" t="s">
        <v>391</v>
      </c>
      <c r="K27" s="80" t="s">
        <v>391</v>
      </c>
      <c r="L27" s="81" t="s">
        <v>391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403</v>
      </c>
      <c r="C28" s="117"/>
      <c r="D28" s="111">
        <v>18</v>
      </c>
      <c r="E28" s="315">
        <f t="shared" si="0"/>
        <v>1</v>
      </c>
      <c r="F28" s="312" t="s">
        <v>391</v>
      </c>
      <c r="G28" s="80" t="s">
        <v>391</v>
      </c>
      <c r="H28" s="80" t="s">
        <v>391</v>
      </c>
      <c r="I28" s="80" t="s">
        <v>391</v>
      </c>
      <c r="J28" s="80" t="s">
        <v>391</v>
      </c>
      <c r="K28" s="80" t="s">
        <v>391</v>
      </c>
      <c r="L28" s="81" t="s">
        <v>391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404</v>
      </c>
      <c r="C29" s="340"/>
      <c r="D29" s="341">
        <v>19</v>
      </c>
      <c r="E29" s="342">
        <v>1</v>
      </c>
      <c r="F29" s="312" t="s">
        <v>391</v>
      </c>
      <c r="G29" s="312" t="s">
        <v>391</v>
      </c>
      <c r="H29" s="312" t="s">
        <v>391</v>
      </c>
      <c r="I29" s="312" t="s">
        <v>391</v>
      </c>
      <c r="J29" s="312" t="s">
        <v>391</v>
      </c>
      <c r="K29" s="312" t="s">
        <v>391</v>
      </c>
      <c r="L29" s="312" t="s">
        <v>391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405</v>
      </c>
      <c r="C30" s="117"/>
      <c r="D30" s="111">
        <v>20</v>
      </c>
      <c r="E30" s="315">
        <f t="shared" si="0"/>
        <v>1</v>
      </c>
      <c r="F30" s="312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391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406</v>
      </c>
      <c r="C31" s="117"/>
      <c r="D31" s="111">
        <v>21</v>
      </c>
      <c r="E31" s="315">
        <f t="shared" si="0"/>
        <v>0</v>
      </c>
      <c r="F31" s="312" t="s">
        <v>398</v>
      </c>
      <c r="G31" s="80" t="s">
        <v>398</v>
      </c>
      <c r="H31" s="80" t="s">
        <v>391</v>
      </c>
      <c r="I31" s="80" t="s">
        <v>398</v>
      </c>
      <c r="J31" s="80" t="s">
        <v>398</v>
      </c>
      <c r="K31" s="80" t="s">
        <v>398</v>
      </c>
      <c r="L31" s="81" t="s">
        <v>398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407</v>
      </c>
      <c r="C32" s="117"/>
      <c r="D32" s="111">
        <v>22</v>
      </c>
      <c r="E32" s="315">
        <f t="shared" si="0"/>
        <v>0</v>
      </c>
      <c r="F32" s="312" t="s">
        <v>390</v>
      </c>
      <c r="G32" s="80" t="s">
        <v>390</v>
      </c>
      <c r="H32" s="80" t="s">
        <v>390</v>
      </c>
      <c r="I32" s="80" t="s">
        <v>390</v>
      </c>
      <c r="J32" s="80" t="s">
        <v>390</v>
      </c>
      <c r="K32" s="80" t="s">
        <v>390</v>
      </c>
      <c r="L32" s="81" t="s">
        <v>391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408</v>
      </c>
      <c r="C33" s="117"/>
      <c r="D33" s="111">
        <v>23</v>
      </c>
      <c r="E33" s="315">
        <f t="shared" si="0"/>
        <v>1</v>
      </c>
      <c r="F33" s="312" t="s">
        <v>391</v>
      </c>
      <c r="G33" s="80" t="s">
        <v>391</v>
      </c>
      <c r="H33" s="80" t="s">
        <v>391</v>
      </c>
      <c r="I33" s="80" t="s">
        <v>391</v>
      </c>
      <c r="J33" s="80" t="s">
        <v>391</v>
      </c>
      <c r="K33" s="80" t="s">
        <v>391</v>
      </c>
      <c r="L33" s="81" t="s">
        <v>391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409</v>
      </c>
      <c r="C34" s="117"/>
      <c r="D34" s="111">
        <v>24</v>
      </c>
      <c r="E34" s="315">
        <f t="shared" si="0"/>
        <v>1</v>
      </c>
      <c r="F34" s="312" t="s">
        <v>391</v>
      </c>
      <c r="G34" s="80" t="s">
        <v>391</v>
      </c>
      <c r="H34" s="80" t="s">
        <v>391</v>
      </c>
      <c r="I34" s="80" t="s">
        <v>391</v>
      </c>
      <c r="J34" s="80" t="s">
        <v>391</v>
      </c>
      <c r="K34" s="80" t="s">
        <v>391</v>
      </c>
      <c r="L34" s="81" t="s">
        <v>391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410</v>
      </c>
      <c r="C35" s="123"/>
      <c r="D35" s="124">
        <v>25</v>
      </c>
      <c r="E35" s="316">
        <f t="shared" si="0"/>
        <v>0</v>
      </c>
      <c r="F35" s="313" t="s">
        <v>390</v>
      </c>
      <c r="G35" s="82" t="s">
        <v>390</v>
      </c>
      <c r="H35" s="82" t="s">
        <v>390</v>
      </c>
      <c r="I35" s="82" t="s">
        <v>390</v>
      </c>
      <c r="J35" s="82" t="s">
        <v>390</v>
      </c>
      <c r="K35" s="82" t="s">
        <v>390</v>
      </c>
      <c r="L35" s="83" t="s">
        <v>391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451</v>
      </c>
      <c r="B1" s="128"/>
      <c r="D1" s="217" t="s">
        <v>544</v>
      </c>
    </row>
    <row r="2" spans="1:16">
      <c r="A2" s="237"/>
      <c r="B2" s="236" t="s">
        <v>452</v>
      </c>
    </row>
    <row r="3" spans="1:16" ht="20.100000000000001" customHeight="1">
      <c r="A3" s="364" t="s">
        <v>248</v>
      </c>
      <c r="B3" s="238" t="s">
        <v>85</v>
      </c>
      <c r="C3" s="239"/>
      <c r="D3" s="366" t="s">
        <v>453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364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364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818b9f00-f4e5-4488-840e-6084e0f1107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Rieger, Jakob</cp:lastModifiedBy>
  <cp:lastPrinted>2022-06-27T11:56:20Z</cp:lastPrinted>
  <dcterms:created xsi:type="dcterms:W3CDTF">2015-01-15T05:25:41Z</dcterms:created>
  <dcterms:modified xsi:type="dcterms:W3CDTF">2022-07-12T08:40:14Z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